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WEA\RET_PROV\NL\CLIENT\EXXO48\2024\Advisering\Flexfactoren 2025\Definitieve bepaling\"/>
    </mc:Choice>
  </mc:AlternateContent>
  <xr:revisionPtr revIDLastSave="0" documentId="13_ncr:1_{DAD6A85E-2AF8-4D8C-9A38-632D8BD8102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Vergelijker ruilvoeten 24-25" sheetId="1" r:id="rId1"/>
    <sheet name="Factoren" sheetId="2" state="hidden" r:id="rId2"/>
  </sheets>
  <definedNames>
    <definedName name="AOWcomp">Factoren!$K$2:$M$23</definedName>
    <definedName name="AOWComp2">Factoren!$O$2:$Q$26</definedName>
    <definedName name="Uitruil">Factoren!$F$2:$H$16</definedName>
    <definedName name="Vervroegen">Factoren!$A$2:$C$16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D4" i="1" l="1"/>
  <c r="D5" i="1" s="1"/>
  <c r="E4" i="1"/>
  <c r="E5" i="1" s="1"/>
  <c r="E10" i="1" l="1"/>
  <c r="E9" i="1"/>
  <c r="E8" i="1"/>
  <c r="D24" i="1"/>
  <c r="D19" i="1"/>
  <c r="E24" i="1" l="1"/>
  <c r="F24" i="1" s="1"/>
  <c r="D23" i="1"/>
  <c r="E19" i="1"/>
  <c r="F19" i="1" s="1"/>
  <c r="D18" i="1"/>
  <c r="E18" i="1"/>
  <c r="F18" i="1" s="1"/>
  <c r="D10" i="1"/>
  <c r="G22" i="1" l="1"/>
  <c r="C8" i="1"/>
  <c r="E23" i="1"/>
  <c r="F23" i="1" s="1"/>
  <c r="G23" i="1" s="1"/>
  <c r="D9" i="1"/>
  <c r="G18" i="1"/>
  <c r="D8" i="1"/>
  <c r="G17" i="1"/>
  <c r="C22" i="1" l="1"/>
  <c r="C19" i="1"/>
  <c r="C24" i="1"/>
  <c r="C17" i="1"/>
  <c r="C18" i="1"/>
  <c r="C23" i="1"/>
  <c r="C6" i="1"/>
  <c r="D17" i="1" l="1"/>
  <c r="E17" i="1" s="1"/>
  <c r="D22" i="1"/>
  <c r="E22" i="1" s="1"/>
  <c r="F22" i="1" l="1"/>
  <c r="F17" i="1"/>
</calcChain>
</file>

<file path=xl/sharedStrings.xml><?xml version="1.0" encoding="utf-8"?>
<sst xmlns="http://schemas.openxmlformats.org/spreadsheetml/2006/main" count="66" uniqueCount="48">
  <si>
    <t>Vervroegen</t>
  </si>
  <si>
    <t>Uitruil PP in OP</t>
  </si>
  <si>
    <t>AOW-compensatie</t>
  </si>
  <si>
    <t>Leeftijd</t>
  </si>
  <si>
    <t>Ruilvoet 2024</t>
  </si>
  <si>
    <t>Lft pensioendatum</t>
  </si>
  <si>
    <t>AOW-leeftijd</t>
  </si>
  <si>
    <t>Legenda</t>
  </si>
  <si>
    <t>Invoervelden (zelf invullen)</t>
  </si>
  <si>
    <t>Resultaat van de berekening</t>
  </si>
  <si>
    <t>Keuzes:</t>
  </si>
  <si>
    <t>Pens.datum 1</t>
  </si>
  <si>
    <t>Pens.datum 2</t>
  </si>
  <si>
    <t>Toelichting</t>
  </si>
  <si>
    <t>Uitruil PP voor extra OP</t>
  </si>
  <si>
    <t>Uitruil OP voor OVP</t>
  </si>
  <si>
    <t>Bedrag AOW-compensatie</t>
  </si>
  <si>
    <t>Uitgangssituatie:</t>
  </si>
  <si>
    <t>Opgebouwd Ouderdomspensioen</t>
  </si>
  <si>
    <t>Opgebouwd Partnerpensioen</t>
  </si>
  <si>
    <t>Ouderdomspensioen</t>
  </si>
  <si>
    <t>Partnerpensioen</t>
  </si>
  <si>
    <t>Ruilvoeten 2024</t>
  </si>
  <si>
    <t>Disclaimer:</t>
  </si>
  <si>
    <t>-   Er kunnen aan deze berekening geen rechten worden ontleend.</t>
  </si>
  <si>
    <t>Let op: U dient de op dit moment opgebouwde bedragen in te vullen, niet de in uitzicht gestelde bedragen</t>
  </si>
  <si>
    <t>op pensioenleeftijd. Deze bedragen kunt u vinden op uw laatste UPO of op www.mijnpensioenoverzicht.nl</t>
  </si>
  <si>
    <t>Rekenvelden (automatisch ingevuld)</t>
  </si>
  <si>
    <t>Geboortedatum (mnd/dag/jr)</t>
  </si>
  <si>
    <t>Na toepassing keuzes</t>
  </si>
  <si>
    <t>Na toepassen keuzes</t>
  </si>
  <si>
    <t>Uitruil partnerpensioen (PP) voor extra ouderdomspensioen (OP)</t>
  </si>
  <si>
    <t>Uitruil ouderdomspensioen (PP) voor overbruggingspensioen (OVP)</t>
  </si>
  <si>
    <t>Ja</t>
  </si>
  <si>
    <t>2xAOW_gehuwd</t>
  </si>
  <si>
    <t>AOW-compensatie (eindlft 67)</t>
  </si>
  <si>
    <t>AOW-compensatie (tot 67,25 jr)</t>
  </si>
  <si>
    <t>Ruilvoet 2025</t>
  </si>
  <si>
    <t>Ruilvoeten 2025 (voorlopig)</t>
  </si>
  <si>
    <t>-   De ruilvoeten 2025 zijn definitief na akkoord van de Raad van Bestuur; deze zijn vastgesteld o.b.v. rente per 30 september 2024.</t>
  </si>
  <si>
    <t>-   Indien u besluit om uiterlijk 1-1-2025 met pensioen te gaan worden de opgebouwde pensioenen uitgeruild op basis van de ruilvoeten 2024.</t>
  </si>
  <si>
    <t xml:space="preserve">-   Indien u na 1-1-2025 met pensioen gaat worden de opgebouwde pensioenen uitgeruild op basis van de ruilvoeten 2025. Dit leidt tot een </t>
  </si>
  <si>
    <t xml:space="preserve">     lagere uitgeruilde aanspraak dan op basis van de ruilvoeten 2024 kan worden verkregen, maar u bouwt dan wel langer pensioen op, ontvangt</t>
  </si>
  <si>
    <t xml:space="preserve">     langer salaris en bij ingang na 1 mei 2025 heeft u ook nog recht op de indexatie op basis van de maatstaf van de actieven.</t>
  </si>
  <si>
    <t>-   In beide gevallen wordt gerekend met de leeftijd per 1 januari 2025.</t>
  </si>
  <si>
    <t>-   Dit is een indicatieve berekening om het effect van de wijziging van de ruilvoeten 2024 en 2025 inzichtelijk te maken.</t>
  </si>
  <si>
    <t>Ruilvoeten 2025</t>
  </si>
  <si>
    <t>Vergelijker ruilvoeten 2024-2025 ExxonMobil OFP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</si>
</sst>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Aptos Narrow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0" xfId="0" applyFont="1"/>
    <xf numFmtId="164" fontId="0" fillId="0" borderId="0" xfId="0" applyNumberFormat="1"/>
    <xf numFmtId="14" fontId="0" fillId="2" borderId="0" xfId="0" applyNumberFormat="1" applyFill="1"/>
    <xf numFmtId="0" fontId="3" fillId="0" borderId="0" xfId="0" applyFont="1"/>
    <xf numFmtId="0" fontId="4" fillId="0" borderId="1" xfId="0" applyFont="1" applyBorder="1"/>
    <xf numFmtId="0" fontId="0" fillId="0" borderId="2" xfId="0" applyBorder="1"/>
    <xf numFmtId="14" fontId="0" fillId="3" borderId="0" xfId="0" applyNumberFormat="1" applyFill="1"/>
    <xf numFmtId="0" fontId="0" fillId="2" borderId="3" xfId="0" applyFill="1" applyBorder="1"/>
    <xf numFmtId="0" fontId="0" fillId="2" borderId="4" xfId="0" applyFill="1" applyBorder="1"/>
    <xf numFmtId="0" fontId="6" fillId="3" borderId="3" xfId="0" applyFont="1" applyFill="1" applyBorder="1"/>
    <xf numFmtId="0" fontId="0" fillId="3" borderId="4" xfId="0" applyFill="1" applyBorder="1"/>
    <xf numFmtId="0" fontId="7" fillId="0" borderId="0" xfId="0" applyFont="1"/>
    <xf numFmtId="0" fontId="2" fillId="0" borderId="0" xfId="0" applyFont="1"/>
    <xf numFmtId="4" fontId="0" fillId="3" borderId="0" xfId="0" applyNumberFormat="1" applyFill="1"/>
    <xf numFmtId="4" fontId="0" fillId="2" borderId="0" xfId="0" applyNumberFormat="1" applyFill="1"/>
    <xf numFmtId="0" fontId="3" fillId="0" borderId="8" xfId="0" applyFont="1" applyBorder="1"/>
    <xf numFmtId="0" fontId="0" fillId="0" borderId="8" xfId="0" applyBorder="1"/>
    <xf numFmtId="0" fontId="0" fillId="0" borderId="10" xfId="0" applyBorder="1"/>
    <xf numFmtId="0" fontId="3" fillId="0" borderId="3" xfId="0" applyFont="1" applyBorder="1"/>
    <xf numFmtId="4" fontId="0" fillId="0" borderId="0" xfId="0" applyNumberFormat="1"/>
    <xf numFmtId="0" fontId="0" fillId="0" borderId="4" xfId="0" applyBorder="1"/>
    <xf numFmtId="0" fontId="3" fillId="0" borderId="5" xfId="0" applyFont="1" applyBorder="1"/>
    <xf numFmtId="4" fontId="0" fillId="0" borderId="12" xfId="0" applyNumberFormat="1" applyBorder="1"/>
    <xf numFmtId="0" fontId="0" fillId="0" borderId="12" xfId="0" applyBorder="1"/>
    <xf numFmtId="0" fontId="0" fillId="0" borderId="6" xfId="0" applyBorder="1"/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/>
    <xf numFmtId="0" fontId="7" fillId="4" borderId="10" xfId="0" applyFont="1" applyFill="1" applyBorder="1"/>
    <xf numFmtId="0" fontId="7" fillId="4" borderId="3" xfId="0" quotePrefix="1" applyFont="1" applyFill="1" applyBorder="1" applyAlignment="1">
      <alignment horizontal="left" vertical="center"/>
    </xf>
    <xf numFmtId="0" fontId="7" fillId="4" borderId="0" xfId="0" applyFont="1" applyFill="1"/>
    <xf numFmtId="0" fontId="7" fillId="4" borderId="4" xfId="0" applyFont="1" applyFill="1" applyBorder="1"/>
    <xf numFmtId="0" fontId="7" fillId="4" borderId="3" xfId="0" applyFont="1" applyFill="1" applyBorder="1" applyAlignment="1">
      <alignment horizontal="left" vertical="center"/>
    </xf>
    <xf numFmtId="0" fontId="7" fillId="4" borderId="5" xfId="0" quotePrefix="1" applyFont="1" applyFill="1" applyBorder="1" applyAlignment="1">
      <alignment horizontal="left" vertical="center"/>
    </xf>
    <xf numFmtId="0" fontId="7" fillId="4" borderId="12" xfId="0" applyFont="1" applyFill="1" applyBorder="1"/>
    <xf numFmtId="0" fontId="7" fillId="4" borderId="6" xfId="0" applyFont="1" applyFill="1" applyBorder="1"/>
    <xf numFmtId="0" fontId="4" fillId="5" borderId="7" xfId="0" applyFont="1" applyFill="1" applyBorder="1"/>
    <xf numFmtId="0" fontId="3" fillId="5" borderId="9" xfId="0" applyFont="1" applyFill="1" applyBorder="1"/>
    <xf numFmtId="4" fontId="0" fillId="5" borderId="11" xfId="0" applyNumberFormat="1" applyFill="1" applyBorder="1"/>
    <xf numFmtId="4" fontId="0" fillId="5" borderId="13" xfId="0" applyNumberFormat="1" applyFill="1" applyBorder="1"/>
    <xf numFmtId="0" fontId="0" fillId="5" borderId="3" xfId="0" applyFill="1" applyBorder="1"/>
    <xf numFmtId="0" fontId="0" fillId="5" borderId="4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5" xfId="0" applyFill="1" applyBorder="1"/>
    <xf numFmtId="0" fontId="0" fillId="4" borderId="12" xfId="0" applyFill="1" applyBorder="1"/>
    <xf numFmtId="0" fontId="0" fillId="4" borderId="6" xfId="0" applyFill="1" applyBorder="1"/>
    <xf numFmtId="2" fontId="0" fillId="3" borderId="0" xfId="0" applyNumberFormat="1" applyFill="1"/>
    <xf numFmtId="165" fontId="5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165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10" fillId="0" borderId="0" xfId="0" applyNumberFormat="1" applyFo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tabSelected="1" workbookViewId="0">
      <selection activeCell="F4" sqref="F4"/>
    </sheetView>
  </sheetViews>
  <sheetFormatPr defaultRowHeight="15" x14ac:dyDescent="0.25"/>
  <cols>
    <col min="1" max="1" width="3.140625" customWidth="1"/>
    <col min="2" max="2" width="30.42578125" customWidth="1"/>
    <col min="3" max="3" width="15.7109375" customWidth="1"/>
    <col min="4" max="4" width="22.28515625" customWidth="1"/>
    <col min="5" max="5" width="18.7109375" customWidth="1"/>
    <col min="6" max="6" width="20.7109375" customWidth="1"/>
    <col min="7" max="8" width="13" customWidth="1"/>
    <col min="9" max="9" width="17.140625" customWidth="1"/>
  </cols>
  <sheetData>
    <row r="1" spans="2:9" x14ac:dyDescent="0.25">
      <c r="B1" s="1" t="s">
        <v>47</v>
      </c>
    </row>
    <row r="3" spans="2:9" x14ac:dyDescent="0.25">
      <c r="B3" t="s">
        <v>28</v>
      </c>
      <c r="C3" s="4">
        <v>23450</v>
      </c>
      <c r="D3" s="5" t="s">
        <v>5</v>
      </c>
      <c r="E3" s="5" t="s">
        <v>6</v>
      </c>
      <c r="H3" s="6" t="s">
        <v>7</v>
      </c>
      <c r="I3" s="7"/>
    </row>
    <row r="4" spans="2:9" x14ac:dyDescent="0.25">
      <c r="B4" t="s">
        <v>22</v>
      </c>
      <c r="C4" s="8">
        <v>45658</v>
      </c>
      <c r="D4" s="52">
        <f>YEAR(C4)-YEAR($C$3)+(MONTH(C4)-MONTH($C$3))/12</f>
        <v>60.833333333333336</v>
      </c>
      <c r="E4" s="52">
        <f>IF(C3&lt;20880,66+10/12,IF(C3&lt;22282,67,67+3/12))</f>
        <v>67.25</v>
      </c>
      <c r="H4" s="9" t="s">
        <v>8</v>
      </c>
      <c r="I4" s="10"/>
    </row>
    <row r="5" spans="2:9" x14ac:dyDescent="0.25">
      <c r="B5" t="s">
        <v>38</v>
      </c>
      <c r="C5" s="8">
        <v>45689</v>
      </c>
      <c r="D5" s="52">
        <f>D4</f>
        <v>60.833333333333336</v>
      </c>
      <c r="E5" s="52">
        <f>E4</f>
        <v>67.25</v>
      </c>
      <c r="H5" s="11" t="s">
        <v>27</v>
      </c>
      <c r="I5" s="12"/>
    </row>
    <row r="6" spans="2:9" x14ac:dyDescent="0.25">
      <c r="C6" s="13" t="str">
        <f>IF(AND(C10&lt;&gt;"Nee",OR(E4&lt;=D4,E5&lt;=D5)),"Lft pensioendatum groter of gelijk aan AOW-leeftijd, graag cel B10 op 'Nee' zetten!","")</f>
        <v/>
      </c>
      <c r="H6" s="44" t="s">
        <v>9</v>
      </c>
      <c r="I6" s="45"/>
    </row>
    <row r="7" spans="2:9" x14ac:dyDescent="0.25">
      <c r="B7" s="5" t="s">
        <v>10</v>
      </c>
      <c r="D7" s="14" t="s">
        <v>11</v>
      </c>
      <c r="E7" s="14" t="s">
        <v>12</v>
      </c>
      <c r="H7" s="49" t="s">
        <v>13</v>
      </c>
      <c r="I7" s="51"/>
    </row>
    <row r="8" spans="2:9" x14ac:dyDescent="0.25">
      <c r="B8" t="s">
        <v>0</v>
      </c>
      <c r="C8" s="29" t="str">
        <f>IF(D4&lt;68,"Ja","Nee")</f>
        <v>Ja</v>
      </c>
      <c r="D8" s="58">
        <f>($D$4-INT($D$4))*VLOOKUP(INT($D$4)+1,Vervroegen,2,FALSE)+(1-($D$4-INT($D$4)))*VLOOKUP(INT($D$4),Vervroegen,2,FALSE)</f>
        <v>0.68100000000000005</v>
      </c>
      <c r="E8" s="58">
        <f>($D$5-INT($D$5))*VLOOKUP(INT($D$5)+1,Vervroegen,3,FALSE)+(1-($D$5-INT($D$5)))*VLOOKUP(INT($D$5),Vervroegen,3,FALSE)</f>
        <v>0.65950000000000009</v>
      </c>
    </row>
    <row r="9" spans="2:9" ht="45" x14ac:dyDescent="0.25">
      <c r="B9" s="27" t="s">
        <v>31</v>
      </c>
      <c r="C9" s="28" t="s">
        <v>33</v>
      </c>
      <c r="D9" s="58">
        <f>($D$4-INT($D$4))*VLOOKUP(INT($D$4)+1,Uitruil,2,FALSE)+(1-($D$4-INT($D$4)))*VLOOKUP(INT($D$4),Uitruil,2,FALSE)</f>
        <v>0.23749999999999999</v>
      </c>
      <c r="E9" s="58">
        <f>($D$5-INT($D$5))*VLOOKUP(INT($D$5)+1,Uitruil,3,FALSE)+(1-($D$5-INT($D$5)))*VLOOKUP(INT($D$5),Uitruil,3,FALSE)</f>
        <v>0.21250000000000002</v>
      </c>
    </row>
    <row r="10" spans="2:9" ht="45" x14ac:dyDescent="0.25">
      <c r="B10" s="27" t="s">
        <v>32</v>
      </c>
      <c r="C10" s="28" t="s">
        <v>34</v>
      </c>
      <c r="D10" s="58">
        <f>IF(AND(D4&lt;66,E4=67),($D$4-INT($D$4))*VLOOKUP(INT($D$4)+1,AOWcomp,2,FALSE)+(1-($D$4-INT($D$4)))*VLOOKUP(INT($D$4),AOWcomp,2,FALSE),IF(AND(D4&lt;66,E4=67.25),($D$4-INT($D$4))*VLOOKUP(INT($D$4)+1,AOWComp2,2,FALSE)+(1-($D$4-INT($D$4)))*VLOOKUP(INT($D$4),AOWComp2,2,FALSE),IF(AND(D4&gt;=66,E4=67),VLOOKUP(D4,AOWcomp,2,FALSE),VLOOKUP(D4,AOWComp2,2,FALSE))))</f>
        <v>3.4827166666666676</v>
      </c>
      <c r="E10" s="58">
        <f>IF(AND(D5&lt;66,E5=67),($D$5-INT($D$5))*VLOOKUP(INT($D$5)+1,AOWcomp,3,FALSE)+(1-($D$5-INT($D$5)))*VLOOKUP(INT($D$5),AOWcomp,3,FALSE),IF(AND(D5&lt;66,E5=67.25),($D$5-INT($D$5))*VLOOKUP(INT($D$5)+1,AOWComp2,3,FALSE)+(1-($D$5-INT($D$5)))*VLOOKUP(INT($D$5),AOWComp2,3,FALSE),IF(AND(D5&gt;=66,E5=67),VLOOKUP(E5,AOWcomp,3,FALSE),VLOOKUP(E5,AOWComp2,3,FALSE))))</f>
        <v>3.2469833333333344</v>
      </c>
      <c r="F10" s="15">
        <f>IF(C10="Nee","",IF(C10="2xAOW_gehuwd",26842,IF(C10="AOW_gehuwd",13421)))</f>
        <v>26842</v>
      </c>
      <c r="G10" t="s">
        <v>16</v>
      </c>
      <c r="H10" s="13"/>
    </row>
    <row r="12" spans="2:9" x14ac:dyDescent="0.25">
      <c r="B12" s="5" t="s">
        <v>17</v>
      </c>
    </row>
    <row r="13" spans="2:9" x14ac:dyDescent="0.25">
      <c r="B13" t="s">
        <v>18</v>
      </c>
      <c r="C13" s="16">
        <v>93433.418481179993</v>
      </c>
      <c r="D13" s="46" t="s">
        <v>25</v>
      </c>
      <c r="E13" s="47"/>
      <c r="F13" s="47"/>
      <c r="G13" s="47"/>
      <c r="H13" s="47"/>
      <c r="I13" s="48"/>
    </row>
    <row r="14" spans="2:9" x14ac:dyDescent="0.25">
      <c r="B14" t="s">
        <v>19</v>
      </c>
      <c r="C14" s="16">
        <v>36881.350986425998</v>
      </c>
      <c r="D14" s="49" t="s">
        <v>26</v>
      </c>
      <c r="E14" s="50"/>
      <c r="F14" s="50"/>
      <c r="G14" s="50"/>
      <c r="H14" s="50"/>
      <c r="I14" s="51"/>
    </row>
    <row r="16" spans="2:9" x14ac:dyDescent="0.25">
      <c r="B16" s="40" t="s">
        <v>22</v>
      </c>
      <c r="C16" s="17" t="s">
        <v>0</v>
      </c>
      <c r="D16" s="17" t="s">
        <v>14</v>
      </c>
      <c r="E16" s="17" t="s">
        <v>15</v>
      </c>
      <c r="F16" s="41" t="s">
        <v>29</v>
      </c>
      <c r="G16" s="18"/>
      <c r="H16" s="18"/>
      <c r="I16" s="19"/>
    </row>
    <row r="17" spans="2:12" x14ac:dyDescent="0.25">
      <c r="B17" s="20" t="s">
        <v>20</v>
      </c>
      <c r="C17" s="21">
        <f>IF(C8="Ja",ROUND(C13*D8,2),"nvt")</f>
        <v>63628.160000000003</v>
      </c>
      <c r="D17" s="21">
        <f>IF(C9="Ja",IF(C17="nvt",C13,C17)+IF(C17="nvt",ROUND(C14*$D$9,2),ROUND(C19*$D$9,2)),"nvt")</f>
        <v>72387.48000000001</v>
      </c>
      <c r="E17" s="21">
        <f>IF(C10="Nee","nvt",IF(C10&lt;&gt;"Nee",IF(D17&lt;&gt;"nvt",ROUND(D17-E18/D10,2),IF(C17&lt;&gt;"nvt",ROUND(C17-E18/D10,2)))))</f>
        <v>64680.28</v>
      </c>
      <c r="F17" s="42">
        <f>IF(E17&lt;&gt;"nvt",E17,IF(D17&lt;&gt;"nvt",D17,IF(C17&lt;&gt;"nvt",C17,C8)))</f>
        <v>64680.28</v>
      </c>
      <c r="G17" t="str">
        <f>"Ingaand op leeftijd "&amp;INT(D4)&amp;" en "&amp;ROUND((D4-INT(D4))*12,0)&amp;" maanden"</f>
        <v>Ingaand op leeftijd 60 en 10 maanden</v>
      </c>
      <c r="I17" s="22"/>
      <c r="L17" s="21"/>
    </row>
    <row r="18" spans="2:12" x14ac:dyDescent="0.25">
      <c r="B18" s="20" t="s">
        <v>2</v>
      </c>
      <c r="C18" s="21">
        <f>IF(C8="Ja",0,"nvt")</f>
        <v>0</v>
      </c>
      <c r="D18" s="21">
        <f>IF(C9="Nee","nvt",0)</f>
        <v>0</v>
      </c>
      <c r="E18" s="21">
        <f>IF(C10&lt;&gt;"Nee",F10,"nvt")</f>
        <v>26842</v>
      </c>
      <c r="F18" s="42">
        <f>IF(E18&lt;&gt;"nvt",E18,0)</f>
        <v>26842</v>
      </c>
      <c r="G18" t="str">
        <f>IF(F18&gt;0,"Eindigend op leeftijd "&amp;INT(E5)&amp;" en "&amp;ROUND((E5-INT(E5))*12,0)&amp;" maanden","")</f>
        <v>Eindigend op leeftijd 67 en 3 maanden</v>
      </c>
      <c r="I18" s="22"/>
    </row>
    <row r="19" spans="2:12" x14ac:dyDescent="0.25">
      <c r="B19" s="23" t="s">
        <v>21</v>
      </c>
      <c r="C19" s="24">
        <f>IF(C8="Ja",C14,"nvt")</f>
        <v>36881.350986425998</v>
      </c>
      <c r="D19" s="24">
        <f>IF(C9="Ja",0,"nvt")</f>
        <v>0</v>
      </c>
      <c r="E19" s="24">
        <f>IF(C10&lt;&gt;"Nee",IF(D19&lt;&gt;"nvt",D19,IF(C19&lt;&gt;"nvt",C19,C14)),"nvt")</f>
        <v>0</v>
      </c>
      <c r="F19" s="43">
        <f>IF(E19&lt;&gt;"nvt",E19,IF(D19&lt;&gt;"nvt",D19,IF(C19&lt;&gt;"nvt",C19,C9)))</f>
        <v>0</v>
      </c>
      <c r="G19" s="25"/>
      <c r="H19" s="25"/>
      <c r="I19" s="26"/>
    </row>
    <row r="21" spans="2:12" x14ac:dyDescent="0.25">
      <c r="B21" s="40" t="s">
        <v>46</v>
      </c>
      <c r="C21" s="17" t="s">
        <v>0</v>
      </c>
      <c r="D21" s="17" t="s">
        <v>14</v>
      </c>
      <c r="E21" s="17" t="s">
        <v>15</v>
      </c>
      <c r="F21" s="41" t="s">
        <v>30</v>
      </c>
      <c r="G21" s="18"/>
      <c r="H21" s="18"/>
      <c r="I21" s="19"/>
    </row>
    <row r="22" spans="2:12" x14ac:dyDescent="0.25">
      <c r="B22" s="20" t="s">
        <v>20</v>
      </c>
      <c r="C22" s="21">
        <f>IF(C8="Ja",ROUND(C13*E8,2),"nvt")</f>
        <v>61619.34</v>
      </c>
      <c r="D22" s="21">
        <f>IF(C9="Ja",IF(C22="nvt",C13,C22)+IF(C22="nvt",ROUND(C14*$E$9,2),ROUND(C24*$E$9,2)),"nvt")</f>
        <v>69456.62999999999</v>
      </c>
      <c r="E22" s="21">
        <f>IF(C10="Nee","nvt",IF(C10&lt;&gt;"Nee",IF(D22&lt;&gt;"nvt",ROUND(D22-E23/E10,2),IF(C22&lt;&gt;"nvt",ROUND(C22-E23/E10,2)))))</f>
        <v>61189.88</v>
      </c>
      <c r="F22" s="42">
        <f>IF(E22&lt;&gt;"nvt",E22,IF(D22&lt;&gt;"nvt",D22,IF(C22&lt;&gt;"nvt",C22,C13)))</f>
        <v>61189.88</v>
      </c>
      <c r="G22" t="str">
        <f>"Ingaand op leeftijd "&amp;INT(D4)&amp;" en "&amp;ROUND((D4-INT(D4))*12,0)&amp;" maanden"</f>
        <v>Ingaand op leeftijd 60 en 10 maanden</v>
      </c>
      <c r="I22" s="22"/>
      <c r="L22" s="21"/>
    </row>
    <row r="23" spans="2:12" x14ac:dyDescent="0.25">
      <c r="B23" s="20" t="s">
        <v>2</v>
      </c>
      <c r="C23" s="21">
        <f>IF(C8="Ja",0,"nvt")</f>
        <v>0</v>
      </c>
      <c r="D23" s="21">
        <f>IF(C9="Nee","nvt",0)</f>
        <v>0</v>
      </c>
      <c r="E23" s="21">
        <f>IF(C10&lt;&gt;"Nee",F10,"nvt")</f>
        <v>26842</v>
      </c>
      <c r="F23" s="42">
        <f>IF(E23&lt;&gt;"nvt",E23,0)</f>
        <v>26842</v>
      </c>
      <c r="G23" t="str">
        <f>IF(F23&gt;0,"Eindigend op leeftijd "&amp;INT(E4)&amp;" en "&amp;ROUND((E4-INT(E4))*12,0)&amp;" maanden","")</f>
        <v>Eindigend op leeftijd 67 en 3 maanden</v>
      </c>
      <c r="I23" s="22"/>
    </row>
    <row r="24" spans="2:12" x14ac:dyDescent="0.25">
      <c r="B24" s="23" t="s">
        <v>21</v>
      </c>
      <c r="C24" s="24">
        <f>IF(C8="Ja",C14,"nvt")</f>
        <v>36881.350986425998</v>
      </c>
      <c r="D24" s="24">
        <f>IF(C9="Ja",0,"nvt")</f>
        <v>0</v>
      </c>
      <c r="E24" s="24">
        <f>IF(C10&lt;&gt;"Nee",IF(D24&lt;&gt;"nvt",D24,IF(C24&lt;&gt;"nvt",C24,C14)),"nvt")</f>
        <v>0</v>
      </c>
      <c r="F24" s="43">
        <f>IF(E24&lt;&gt;"nvt",E24,IF(D24&lt;&gt;"nvt",D24,IF(C24&lt;&gt;"nvt",C24,C14)))</f>
        <v>0</v>
      </c>
      <c r="G24" s="25"/>
      <c r="H24" s="25"/>
      <c r="I24" s="26"/>
    </row>
    <row r="27" spans="2:12" x14ac:dyDescent="0.25">
      <c r="B27" s="30" t="s">
        <v>23</v>
      </c>
      <c r="C27" s="31"/>
      <c r="D27" s="31"/>
      <c r="E27" s="31"/>
      <c r="F27" s="31"/>
      <c r="G27" s="31"/>
      <c r="H27" s="31"/>
      <c r="I27" s="32"/>
    </row>
    <row r="28" spans="2:12" x14ac:dyDescent="0.25">
      <c r="B28" s="33" t="s">
        <v>45</v>
      </c>
      <c r="C28" s="34"/>
      <c r="D28" s="34"/>
      <c r="E28" s="34"/>
      <c r="F28" s="34"/>
      <c r="G28" s="34"/>
      <c r="H28" s="34"/>
      <c r="I28" s="35"/>
    </row>
    <row r="29" spans="2:12" x14ac:dyDescent="0.25">
      <c r="B29" s="33" t="s">
        <v>39</v>
      </c>
      <c r="C29" s="34"/>
      <c r="D29" s="34"/>
      <c r="E29" s="34"/>
      <c r="F29" s="34"/>
      <c r="G29" s="34"/>
      <c r="H29" s="34"/>
      <c r="I29" s="35"/>
    </row>
    <row r="30" spans="2:12" x14ac:dyDescent="0.25">
      <c r="B30" s="33" t="s">
        <v>24</v>
      </c>
      <c r="C30" s="34"/>
      <c r="D30" s="34"/>
      <c r="E30" s="34"/>
      <c r="F30" s="34"/>
      <c r="G30" s="34"/>
      <c r="H30" s="34"/>
      <c r="I30" s="35"/>
    </row>
    <row r="31" spans="2:12" x14ac:dyDescent="0.25">
      <c r="B31" s="33" t="s">
        <v>40</v>
      </c>
      <c r="C31" s="34"/>
      <c r="D31" s="34"/>
      <c r="E31" s="34"/>
      <c r="F31" s="34"/>
      <c r="G31" s="34"/>
      <c r="H31" s="34"/>
      <c r="I31" s="35"/>
    </row>
    <row r="32" spans="2:12" x14ac:dyDescent="0.25">
      <c r="B32" s="33" t="s">
        <v>41</v>
      </c>
      <c r="C32" s="34"/>
      <c r="D32" s="34"/>
      <c r="E32" s="34"/>
      <c r="F32" s="34"/>
      <c r="G32" s="34"/>
      <c r="H32" s="34"/>
      <c r="I32" s="35"/>
    </row>
    <row r="33" spans="2:9" x14ac:dyDescent="0.25">
      <c r="B33" s="36" t="s">
        <v>42</v>
      </c>
      <c r="C33" s="34"/>
      <c r="D33" s="34"/>
      <c r="E33" s="34"/>
      <c r="F33" s="34"/>
      <c r="G33" s="34"/>
      <c r="H33" s="34"/>
      <c r="I33" s="35"/>
    </row>
    <row r="34" spans="2:9" x14ac:dyDescent="0.25">
      <c r="B34" s="36" t="s">
        <v>43</v>
      </c>
      <c r="C34" s="34"/>
      <c r="D34" s="34"/>
      <c r="E34" s="34"/>
      <c r="F34" s="34"/>
      <c r="G34" s="34"/>
      <c r="H34" s="34"/>
      <c r="I34" s="35"/>
    </row>
    <row r="35" spans="2:9" x14ac:dyDescent="0.25">
      <c r="B35" s="37" t="s">
        <v>44</v>
      </c>
      <c r="C35" s="38"/>
      <c r="D35" s="38"/>
      <c r="E35" s="38"/>
      <c r="F35" s="38"/>
      <c r="G35" s="38"/>
      <c r="H35" s="38"/>
      <c r="I35" s="39"/>
    </row>
  </sheetData>
  <sheetProtection algorithmName="SHA-512" hashValue="C1kWVtux9OjePOx5rfnh4+zvgyZ5mxAQ+Q3q2bC7fxDQZJJS5JEDa+taGDskm8KDsQ/bLPA2KLJRNAi0wZSocA==" saltValue="ddGfBYtY8ImmCmMARjVHXg==" spinCount="100000" sheet="1" objects="1" scenarios="1"/>
  <protectedRanges>
    <protectedRange sqref="C3 C9:C10 C13:C14" name="Bereik1"/>
  </protectedRanges>
  <dataValidations count="2">
    <dataValidation type="list" allowBlank="1" showInputMessage="1" showErrorMessage="1" sqref="C9" xr:uid="{00000000-0002-0000-0000-000000000000}">
      <formula1>"Nee, Ja"</formula1>
    </dataValidation>
    <dataValidation type="list" allowBlank="1" showInputMessage="1" showErrorMessage="1" sqref="C10" xr:uid="{00000000-0002-0000-0000-000001000000}">
      <formula1>"Nee, AOW_gehuwd, 2xAOW_gehuwd"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workbookViewId="0">
      <selection activeCell="F32" sqref="F32"/>
    </sheetView>
  </sheetViews>
  <sheetFormatPr defaultRowHeight="15" x14ac:dyDescent="0.25"/>
  <cols>
    <col min="1" max="1" width="9.5703125" customWidth="1"/>
    <col min="2" max="2" width="12.85546875" customWidth="1"/>
    <col min="3" max="3" width="13.28515625" customWidth="1"/>
    <col min="4" max="4" width="8.7109375" customWidth="1"/>
    <col min="7" max="7" width="12.42578125" customWidth="1"/>
    <col min="8" max="8" width="13.140625" customWidth="1"/>
    <col min="9" max="9" width="8.7109375" customWidth="1"/>
    <col min="11" max="11" width="9.42578125" bestFit="1" customWidth="1"/>
    <col min="12" max="12" width="13.42578125" customWidth="1"/>
    <col min="13" max="13" width="12.140625" customWidth="1"/>
    <col min="15" max="15" width="10.7109375" customWidth="1"/>
    <col min="16" max="16" width="12.42578125" customWidth="1"/>
    <col min="17" max="17" width="10.7109375" customWidth="1"/>
  </cols>
  <sheetData>
    <row r="1" spans="1:18" x14ac:dyDescent="0.25">
      <c r="A1" s="1" t="s">
        <v>0</v>
      </c>
      <c r="B1" s="1"/>
      <c r="F1" s="1" t="s">
        <v>1</v>
      </c>
      <c r="G1" s="1"/>
      <c r="K1" s="1" t="s">
        <v>35</v>
      </c>
      <c r="L1" s="1"/>
      <c r="O1" s="5" t="s">
        <v>36</v>
      </c>
      <c r="P1" s="5"/>
      <c r="Q1" s="5"/>
    </row>
    <row r="2" spans="1:18" x14ac:dyDescent="0.25">
      <c r="A2" t="s">
        <v>3</v>
      </c>
      <c r="B2" s="2" t="s">
        <v>4</v>
      </c>
      <c r="C2" s="2" t="s">
        <v>37</v>
      </c>
      <c r="D2" s="2"/>
      <c r="F2" t="s">
        <v>3</v>
      </c>
      <c r="G2" s="2" t="s">
        <v>4</v>
      </c>
      <c r="H2" s="2" t="s">
        <v>37</v>
      </c>
      <c r="I2" s="2"/>
      <c r="K2" t="s">
        <v>3</v>
      </c>
      <c r="L2" s="2" t="s">
        <v>4</v>
      </c>
      <c r="M2" s="2" t="s">
        <v>37</v>
      </c>
      <c r="O2" t="s">
        <v>3</v>
      </c>
      <c r="P2" s="2" t="s">
        <v>4</v>
      </c>
      <c r="Q2" s="2" t="s">
        <v>37</v>
      </c>
      <c r="R2" s="57"/>
    </row>
    <row r="3" spans="1:18" x14ac:dyDescent="0.25">
      <c r="A3">
        <v>55</v>
      </c>
      <c r="B3" s="54">
        <v>0.53200000000000003</v>
      </c>
      <c r="C3" s="54">
        <v>0.5</v>
      </c>
      <c r="F3">
        <v>55</v>
      </c>
      <c r="G3" s="53">
        <v>0.19</v>
      </c>
      <c r="H3" s="53">
        <v>0.16500000000000001</v>
      </c>
      <c r="I3" s="56"/>
      <c r="K3">
        <v>57</v>
      </c>
      <c r="L3" s="3">
        <v>2.5676000000000001</v>
      </c>
      <c r="M3" s="3">
        <v>2.3959000000000001</v>
      </c>
      <c r="O3">
        <v>57</v>
      </c>
      <c r="P3" s="3">
        <v>2.5118999999999998</v>
      </c>
      <c r="Q3" s="3">
        <v>2.3460000000000001</v>
      </c>
      <c r="R3" s="56"/>
    </row>
    <row r="4" spans="1:18" x14ac:dyDescent="0.25">
      <c r="A4">
        <v>56</v>
      </c>
      <c r="B4" s="54">
        <v>0.55300000000000005</v>
      </c>
      <c r="C4" s="54">
        <v>0.52300000000000002</v>
      </c>
      <c r="F4">
        <v>56</v>
      </c>
      <c r="G4" s="53">
        <v>0.19700000000000001</v>
      </c>
      <c r="H4" s="53">
        <v>0.17199999999999999</v>
      </c>
      <c r="I4" s="56"/>
      <c r="K4">
        <v>58</v>
      </c>
      <c r="L4" s="3">
        <v>2.7524999999999999</v>
      </c>
      <c r="M4" s="3">
        <v>2.5672999999999999</v>
      </c>
      <c r="O4">
        <v>58</v>
      </c>
      <c r="P4" s="3">
        <v>2.6857000000000002</v>
      </c>
      <c r="Q4" s="3">
        <v>2.5072999999999999</v>
      </c>
      <c r="R4" s="56"/>
    </row>
    <row r="5" spans="1:18" x14ac:dyDescent="0.25">
      <c r="A5">
        <v>57</v>
      </c>
      <c r="B5" s="54">
        <v>0.57599999999999996</v>
      </c>
      <c r="C5" s="54">
        <v>0.54700000000000004</v>
      </c>
      <c r="F5">
        <v>57</v>
      </c>
      <c r="G5" s="53">
        <v>0.20499999999999999</v>
      </c>
      <c r="H5" s="53">
        <v>0.18</v>
      </c>
      <c r="I5" s="56"/>
      <c r="K5">
        <v>59</v>
      </c>
      <c r="L5" s="3">
        <v>2.984</v>
      </c>
      <c r="M5" s="3">
        <v>2.7818999999999998</v>
      </c>
      <c r="O5">
        <v>59</v>
      </c>
      <c r="P5" s="3">
        <v>2.9020000000000001</v>
      </c>
      <c r="Q5" s="3">
        <v>2.7080000000000002</v>
      </c>
      <c r="R5" s="56"/>
    </row>
    <row r="6" spans="1:18" x14ac:dyDescent="0.25">
      <c r="A6">
        <v>58</v>
      </c>
      <c r="B6" s="54">
        <v>0.60099999999999998</v>
      </c>
      <c r="C6" s="54">
        <v>0.57299999999999995</v>
      </c>
      <c r="F6">
        <v>58</v>
      </c>
      <c r="G6" s="53">
        <v>0.21299999999999999</v>
      </c>
      <c r="H6" s="53">
        <v>0.188</v>
      </c>
      <c r="I6" s="56"/>
      <c r="K6">
        <v>60</v>
      </c>
      <c r="L6" s="3">
        <v>3.282</v>
      </c>
      <c r="M6" s="3">
        <v>3.0583</v>
      </c>
      <c r="O6">
        <v>60</v>
      </c>
      <c r="P6" s="3">
        <v>3.1783000000000001</v>
      </c>
      <c r="Q6" s="3">
        <v>2.9643999999999999</v>
      </c>
      <c r="R6" s="56"/>
    </row>
    <row r="7" spans="1:18" x14ac:dyDescent="0.25">
      <c r="A7">
        <v>59</v>
      </c>
      <c r="B7" s="54">
        <v>0.627</v>
      </c>
      <c r="C7" s="54">
        <v>0.60099999999999998</v>
      </c>
      <c r="F7">
        <v>59</v>
      </c>
      <c r="G7" s="53">
        <v>0.221</v>
      </c>
      <c r="H7" s="53">
        <v>0.19600000000000001</v>
      </c>
      <c r="I7" s="56"/>
      <c r="K7">
        <v>61</v>
      </c>
      <c r="L7" s="3">
        <v>3.6798999999999999</v>
      </c>
      <c r="M7" s="3">
        <v>3.4272999999999998</v>
      </c>
      <c r="O7">
        <v>61</v>
      </c>
      <c r="P7" s="3">
        <v>3.5436000000000001</v>
      </c>
      <c r="Q7" s="3">
        <v>3.3035000000000001</v>
      </c>
      <c r="R7" s="56"/>
    </row>
    <row r="8" spans="1:18" x14ac:dyDescent="0.25">
      <c r="A8">
        <v>60</v>
      </c>
      <c r="B8" s="54">
        <v>0.65600000000000003</v>
      </c>
      <c r="C8" s="54">
        <v>0.63200000000000001</v>
      </c>
      <c r="F8">
        <v>60</v>
      </c>
      <c r="G8" s="53">
        <v>0.23</v>
      </c>
      <c r="H8" s="53">
        <v>0.20499999999999999</v>
      </c>
      <c r="I8" s="56"/>
      <c r="K8">
        <v>62</v>
      </c>
      <c r="L8" s="3">
        <v>4.2375999999999996</v>
      </c>
      <c r="M8" s="3">
        <v>3.9445000000000001</v>
      </c>
      <c r="O8">
        <v>62</v>
      </c>
      <c r="P8" s="3">
        <v>4.0487000000000002</v>
      </c>
      <c r="Q8" s="3">
        <v>3.7724000000000002</v>
      </c>
      <c r="R8" s="56"/>
    </row>
    <row r="9" spans="1:18" x14ac:dyDescent="0.25">
      <c r="A9">
        <v>61</v>
      </c>
      <c r="B9" s="54">
        <v>0.68600000000000005</v>
      </c>
      <c r="C9" s="54">
        <v>0.66500000000000004</v>
      </c>
      <c r="F9">
        <v>61</v>
      </c>
      <c r="G9" s="53">
        <v>0.23899999999999999</v>
      </c>
      <c r="H9" s="53">
        <v>0.214</v>
      </c>
      <c r="I9" s="56"/>
      <c r="K9">
        <v>63</v>
      </c>
      <c r="L9" s="3">
        <v>5.0750000000000002</v>
      </c>
      <c r="M9" s="3">
        <v>4.7213000000000003</v>
      </c>
      <c r="O9">
        <v>63</v>
      </c>
      <c r="P9" s="3">
        <v>4.7925000000000004</v>
      </c>
      <c r="Q9" s="3">
        <v>4.4630000000000001</v>
      </c>
      <c r="R9" s="56"/>
    </row>
    <row r="10" spans="1:18" x14ac:dyDescent="0.25">
      <c r="A10">
        <v>62</v>
      </c>
      <c r="B10" s="54">
        <v>0.72</v>
      </c>
      <c r="C10" s="54">
        <v>0.7</v>
      </c>
      <c r="F10">
        <v>62</v>
      </c>
      <c r="G10" s="53">
        <v>0.248</v>
      </c>
      <c r="H10" s="53">
        <v>0.223</v>
      </c>
      <c r="I10" s="56"/>
      <c r="K10">
        <v>64</v>
      </c>
      <c r="L10" s="3">
        <v>6.4721000000000002</v>
      </c>
      <c r="M10" s="3">
        <v>6.0172999999999996</v>
      </c>
      <c r="O10">
        <v>64</v>
      </c>
      <c r="P10" s="3">
        <v>5.9954999999999998</v>
      </c>
      <c r="Q10" s="3">
        <v>5.5801999999999996</v>
      </c>
      <c r="R10" s="56"/>
    </row>
    <row r="11" spans="1:18" x14ac:dyDescent="0.25">
      <c r="A11">
        <v>63</v>
      </c>
      <c r="B11" s="54">
        <v>0.75700000000000001</v>
      </c>
      <c r="C11" s="54">
        <v>0.73899999999999999</v>
      </c>
      <c r="F11">
        <v>63</v>
      </c>
      <c r="G11" s="53">
        <v>0.25800000000000001</v>
      </c>
      <c r="H11" s="53">
        <v>0.23300000000000001</v>
      </c>
      <c r="I11" s="56"/>
      <c r="K11">
        <v>65</v>
      </c>
      <c r="L11" s="3">
        <v>9.2684999999999995</v>
      </c>
      <c r="M11" s="3">
        <v>8.6113999999999997</v>
      </c>
      <c r="O11">
        <v>65</v>
      </c>
      <c r="P11" s="3">
        <v>8.2711000000000006</v>
      </c>
      <c r="Q11" s="3">
        <v>7.6936999999999998</v>
      </c>
      <c r="R11" s="56"/>
    </row>
    <row r="12" spans="1:18" x14ac:dyDescent="0.25">
      <c r="A12">
        <v>64</v>
      </c>
      <c r="B12" s="54">
        <v>0.79600000000000004</v>
      </c>
      <c r="C12" s="54">
        <v>0.78200000000000003</v>
      </c>
      <c r="F12">
        <v>64</v>
      </c>
      <c r="G12" s="53">
        <v>0.26800000000000002</v>
      </c>
      <c r="H12" s="53">
        <v>0.24399999999999999</v>
      </c>
      <c r="I12" s="56"/>
      <c r="K12">
        <v>66</v>
      </c>
      <c r="L12" s="3">
        <v>17.662800000000001</v>
      </c>
      <c r="M12" s="3">
        <v>16.398199999999999</v>
      </c>
      <c r="O12">
        <v>66</v>
      </c>
      <c r="P12" s="3">
        <v>14.198399999999999</v>
      </c>
      <c r="Q12" s="3">
        <v>13.2005</v>
      </c>
      <c r="R12" s="56"/>
    </row>
    <row r="13" spans="1:18" x14ac:dyDescent="0.25">
      <c r="A13">
        <v>65</v>
      </c>
      <c r="B13" s="54">
        <v>0.84</v>
      </c>
      <c r="C13" s="54">
        <v>0.82899999999999996</v>
      </c>
      <c r="F13">
        <v>65</v>
      </c>
      <c r="G13" s="53">
        <v>0.27900000000000003</v>
      </c>
      <c r="H13" s="53">
        <v>0.255</v>
      </c>
      <c r="I13" s="56"/>
      <c r="K13" s="3">
        <v>66.083333333333329</v>
      </c>
      <c r="L13" s="3">
        <v>19.207899999999999</v>
      </c>
      <c r="M13" s="3">
        <v>17.836500000000001</v>
      </c>
      <c r="O13" s="3">
        <v>66.083333333333329</v>
      </c>
      <c r="P13" s="3">
        <v>15.163500000000001</v>
      </c>
      <c r="Q13" s="3">
        <v>14.1005</v>
      </c>
      <c r="R13" s="56"/>
    </row>
    <row r="14" spans="1:18" x14ac:dyDescent="0.25">
      <c r="A14">
        <v>66</v>
      </c>
      <c r="B14" s="54">
        <v>0.88800000000000001</v>
      </c>
      <c r="C14" s="54">
        <v>0.88</v>
      </c>
      <c r="F14">
        <v>66</v>
      </c>
      <c r="G14" s="53">
        <v>0.28999999999999998</v>
      </c>
      <c r="H14" s="53">
        <v>0.26600000000000001</v>
      </c>
      <c r="I14" s="56"/>
      <c r="K14" s="3">
        <v>66.166666666666671</v>
      </c>
      <c r="L14" s="3">
        <v>21.062000000000001</v>
      </c>
      <c r="M14" s="3">
        <v>19.5625</v>
      </c>
      <c r="O14" s="3">
        <v>66.166666666666671</v>
      </c>
      <c r="P14" s="3">
        <v>16.276900000000001</v>
      </c>
      <c r="Q14" s="3">
        <v>15.1387</v>
      </c>
      <c r="R14" s="56"/>
    </row>
    <row r="15" spans="1:18" x14ac:dyDescent="0.25">
      <c r="A15">
        <v>67</v>
      </c>
      <c r="B15" s="54">
        <v>0.94099999999999995</v>
      </c>
      <c r="C15" s="54">
        <v>0.93700000000000006</v>
      </c>
      <c r="F15">
        <v>67</v>
      </c>
      <c r="G15" s="53">
        <v>0.30199999999999999</v>
      </c>
      <c r="H15" s="53">
        <v>0.27900000000000003</v>
      </c>
      <c r="I15" s="56"/>
      <c r="K15" s="3">
        <v>66.25</v>
      </c>
      <c r="L15" s="3">
        <v>23.327999999999999</v>
      </c>
      <c r="M15" s="3">
        <v>21.672000000000001</v>
      </c>
      <c r="O15" s="3">
        <v>66.25</v>
      </c>
      <c r="P15" s="3">
        <v>17.575600000000001</v>
      </c>
      <c r="Q15" s="3">
        <v>16.349599999999999</v>
      </c>
      <c r="R15" s="56"/>
    </row>
    <row r="16" spans="1:18" x14ac:dyDescent="0.25">
      <c r="A16">
        <v>68</v>
      </c>
      <c r="B16" s="54">
        <v>1</v>
      </c>
      <c r="C16" s="54">
        <v>1</v>
      </c>
      <c r="F16">
        <v>68</v>
      </c>
      <c r="G16" s="53">
        <v>0.314</v>
      </c>
      <c r="H16" s="53">
        <v>0.29099999999999998</v>
      </c>
      <c r="I16" s="56"/>
      <c r="K16" s="3">
        <v>66.333333333333329</v>
      </c>
      <c r="L16" s="3">
        <v>26.160699999999999</v>
      </c>
      <c r="M16" s="3">
        <v>24.308900000000001</v>
      </c>
      <c r="O16" s="3">
        <v>66.333333333333329</v>
      </c>
      <c r="P16" s="3">
        <v>19.11</v>
      </c>
      <c r="Q16" s="3">
        <v>17.780200000000001</v>
      </c>
      <c r="R16" s="56"/>
    </row>
    <row r="17" spans="2:18" x14ac:dyDescent="0.25">
      <c r="K17" s="3">
        <v>66.416666666666671</v>
      </c>
      <c r="L17" s="3">
        <v>29.802600000000002</v>
      </c>
      <c r="M17" s="3">
        <v>27.699200000000001</v>
      </c>
      <c r="O17" s="3">
        <v>66.416666666666671</v>
      </c>
      <c r="P17" s="3">
        <v>20.950800000000001</v>
      </c>
      <c r="Q17" s="3">
        <v>19.496400000000001</v>
      </c>
      <c r="R17" s="56"/>
    </row>
    <row r="18" spans="2:18" x14ac:dyDescent="0.25">
      <c r="B18" s="55"/>
      <c r="C18" s="55"/>
      <c r="D18" s="54"/>
      <c r="G18" s="55"/>
      <c r="H18" s="55"/>
      <c r="K18" s="3">
        <v>66.5</v>
      </c>
      <c r="L18" s="3">
        <v>34.658499999999997</v>
      </c>
      <c r="M18" s="3">
        <v>32.2196</v>
      </c>
      <c r="O18" s="3">
        <v>66.5</v>
      </c>
      <c r="P18" s="3">
        <v>23.1999</v>
      </c>
      <c r="Q18" s="3">
        <v>21.593</v>
      </c>
      <c r="R18" s="56"/>
    </row>
    <row r="19" spans="2:18" x14ac:dyDescent="0.25">
      <c r="B19" s="55"/>
      <c r="C19" s="55"/>
      <c r="D19" s="54"/>
      <c r="G19" s="55"/>
      <c r="H19" s="55"/>
      <c r="K19" s="3">
        <v>66.583333333333329</v>
      </c>
      <c r="L19" s="3">
        <v>41.456699999999998</v>
      </c>
      <c r="M19" s="3">
        <v>38.548200000000001</v>
      </c>
      <c r="O19" s="3">
        <v>66.583333333333329</v>
      </c>
      <c r="P19" s="3">
        <v>26.010200000000001</v>
      </c>
      <c r="Q19" s="3">
        <v>24.212399999999999</v>
      </c>
      <c r="R19" s="56"/>
    </row>
    <row r="20" spans="2:18" x14ac:dyDescent="0.25">
      <c r="B20" s="55"/>
      <c r="C20" s="55"/>
      <c r="D20" s="54"/>
      <c r="G20" s="55"/>
      <c r="H20" s="55"/>
      <c r="K20" s="3">
        <v>66.666666666666671</v>
      </c>
      <c r="L20" s="3">
        <v>51.6541</v>
      </c>
      <c r="M20" s="3">
        <v>48.040999999999997</v>
      </c>
      <c r="O20" s="3">
        <v>66.666666666666671</v>
      </c>
      <c r="P20" s="3">
        <v>29.621500000000001</v>
      </c>
      <c r="Q20" s="3">
        <v>27.5779</v>
      </c>
      <c r="R20" s="56"/>
    </row>
    <row r="21" spans="2:18" x14ac:dyDescent="0.25">
      <c r="B21" s="55"/>
      <c r="C21" s="55"/>
      <c r="D21" s="54"/>
      <c r="G21" s="55"/>
      <c r="H21" s="55"/>
      <c r="K21" s="3">
        <v>66.75</v>
      </c>
      <c r="L21" s="3">
        <v>68.649799999999999</v>
      </c>
      <c r="M21" s="3">
        <v>63.862400000000001</v>
      </c>
      <c r="O21" s="3">
        <v>66.75</v>
      </c>
      <c r="P21" s="3">
        <v>34.433199999999999</v>
      </c>
      <c r="Q21" s="3">
        <v>32.061100000000003</v>
      </c>
      <c r="R21" s="56"/>
    </row>
    <row r="22" spans="2:18" x14ac:dyDescent="0.25">
      <c r="B22" s="55"/>
      <c r="C22" s="55"/>
      <c r="D22" s="54"/>
      <c r="G22" s="55"/>
      <c r="H22" s="55"/>
      <c r="K22" s="3">
        <v>66.833333333333329</v>
      </c>
      <c r="L22" s="3">
        <v>102.64100000000001</v>
      </c>
      <c r="M22" s="3">
        <v>95.505200000000002</v>
      </c>
      <c r="O22" s="3">
        <v>66.833333333333329</v>
      </c>
      <c r="P22" s="3">
        <v>41.1631</v>
      </c>
      <c r="Q22" s="3">
        <v>38.329799999999999</v>
      </c>
      <c r="R22" s="56"/>
    </row>
    <row r="23" spans="2:18" x14ac:dyDescent="0.25">
      <c r="B23" s="55"/>
      <c r="C23" s="55"/>
      <c r="D23" s="54"/>
      <c r="G23" s="55"/>
      <c r="H23" s="55"/>
      <c r="K23" s="3">
        <v>66.916666666666671</v>
      </c>
      <c r="L23" s="3">
        <v>204.61500000000001</v>
      </c>
      <c r="M23" s="3">
        <v>190.43379999999999</v>
      </c>
      <c r="O23" s="3">
        <v>66.916666666666671</v>
      </c>
      <c r="P23" s="3">
        <v>51.244199999999999</v>
      </c>
      <c r="Q23" s="3">
        <v>47.716099999999997</v>
      </c>
      <c r="R23" s="56"/>
    </row>
    <row r="24" spans="2:18" x14ac:dyDescent="0.25">
      <c r="B24" s="55"/>
      <c r="C24" s="55"/>
      <c r="D24" s="54"/>
      <c r="G24" s="55"/>
      <c r="H24" s="55"/>
      <c r="O24" s="3">
        <v>67</v>
      </c>
      <c r="P24" s="3">
        <v>68.008799999999994</v>
      </c>
      <c r="Q24" s="3">
        <v>63.314799999999998</v>
      </c>
      <c r="R24" s="56"/>
    </row>
    <row r="25" spans="2:18" x14ac:dyDescent="0.25">
      <c r="B25" s="55"/>
      <c r="C25" s="55"/>
      <c r="D25" s="54"/>
      <c r="G25" s="55"/>
      <c r="H25" s="55"/>
      <c r="O25" s="3">
        <v>67.0833333333334</v>
      </c>
      <c r="P25" s="3">
        <v>101.67829999999999</v>
      </c>
      <c r="Q25" s="3">
        <v>94.682000000000002</v>
      </c>
      <c r="R25" s="56"/>
    </row>
    <row r="26" spans="2:18" x14ac:dyDescent="0.25">
      <c r="B26" s="55"/>
      <c r="C26" s="55"/>
      <c r="D26" s="54"/>
      <c r="G26" s="55"/>
      <c r="H26" s="55"/>
      <c r="O26" s="3">
        <v>67.1666666666667</v>
      </c>
      <c r="P26" s="3">
        <v>202.68690000000001</v>
      </c>
      <c r="Q26" s="3">
        <v>188.78360000000001</v>
      </c>
      <c r="R26" s="56"/>
    </row>
    <row r="27" spans="2:18" x14ac:dyDescent="0.25">
      <c r="B27" s="55"/>
      <c r="C27" s="55"/>
      <c r="D27" s="54"/>
      <c r="G27" s="55"/>
      <c r="H27" s="55"/>
      <c r="O27" s="3"/>
    </row>
    <row r="28" spans="2:18" x14ac:dyDescent="0.25">
      <c r="B28" s="55"/>
      <c r="C28" s="55"/>
      <c r="D28" s="54"/>
      <c r="G28" s="55"/>
      <c r="H28" s="55"/>
      <c r="L28" s="3"/>
      <c r="M28" s="3"/>
      <c r="P28" s="3"/>
      <c r="Q28" s="3"/>
    </row>
    <row r="29" spans="2:18" x14ac:dyDescent="0.25">
      <c r="B29" s="55"/>
      <c r="C29" s="55"/>
      <c r="D29" s="54"/>
      <c r="G29" s="55"/>
      <c r="H29" s="55"/>
    </row>
    <row r="30" spans="2:18" x14ac:dyDescent="0.25">
      <c r="B30" s="55"/>
      <c r="C30" s="55"/>
      <c r="D30" s="54"/>
      <c r="G30" s="55"/>
      <c r="H30" s="55"/>
    </row>
    <row r="31" spans="2:18" x14ac:dyDescent="0.25">
      <c r="G31" s="55"/>
      <c r="H31" s="5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Vergelijker ruilvoeten 24-25</vt:lpstr>
      <vt:lpstr>Factoren</vt:lpstr>
      <vt:lpstr>AOWcomp</vt:lpstr>
      <vt:lpstr>AOWComp2</vt:lpstr>
      <vt:lpstr>Uitruil</vt:lpstr>
      <vt:lpstr>Vervroegen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Huiskes, Bas</dc:creator>
  <cp:lastModifiedBy>Huiskes, Bas</cp:lastModifiedBy>
  <dcterms:created xsi:type="dcterms:W3CDTF">2023-05-24T13:44:28Z</dcterms:created>
  <dcterms:modified xsi:type="dcterms:W3CDTF">2024-11-20T11:50:33Z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2023-05-24T13:44:29Z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83739749-7e54-4759-9d56-7d19c3e978bd</vt:lpwstr>
  </property>
  <property fmtid="{D5CDD505-2E9C-101B-9397-08002B2CF9AE}" pid="8" name="MSIP_Label_38f1469a-2c2a-4aee-b92b-090d4c5468ff_ContentBits">
    <vt:lpwstr>0</vt:lpwstr>
  </property>
  <property fmtid="{D5CDD505-2E9C-101B-9397-08002B2CF9AE}" pid="9" name="_AdHocReviewCycleID">
    <vt:i4>-311499361</vt:i4>
  </property>
  <property fmtid="{D5CDD505-2E9C-101B-9397-08002B2CF9AE}" pid="10" name="_NewReviewCycle">
    <vt:lpwstr/>
  </property>
  <property fmtid="{D5CDD505-2E9C-101B-9397-08002B2CF9AE}" pid="11" name="_EmailSubject">
    <vt:lpwstr>Vergelijker ruilvoeten 2023-2024</vt:lpwstr>
  </property>
  <property fmtid="{D5CDD505-2E9C-101B-9397-08002B2CF9AE}" pid="12" name="_AuthorEmail">
    <vt:lpwstr>diane.smits@exxonmobil.com</vt:lpwstr>
  </property>
  <property fmtid="{D5CDD505-2E9C-101B-9397-08002B2CF9AE}" pid="13" name="_AuthorEmailDisplayName">
    <vt:lpwstr>Smits, Diane</vt:lpwstr>
  </property>
  <property fmtid="{D5CDD505-2E9C-101B-9397-08002B2CF9AE}" pid="14" name="_ReviewingToolsShownOnce">
    <vt:lpwstr/>
  </property>
</Properties>
</file>